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0" i="1" l="1"/>
  <c r="C59" i="1"/>
  <c r="C51" i="1"/>
  <c r="M34" i="1"/>
  <c r="L34" i="1"/>
  <c r="O34" i="1" s="1"/>
  <c r="I33" i="1"/>
  <c r="C33" i="1"/>
  <c r="E33" i="1" s="1"/>
  <c r="I32" i="1"/>
  <c r="C32" i="1"/>
  <c r="E32" i="1" s="1"/>
  <c r="M32" i="1" s="1"/>
  <c r="I31" i="1"/>
  <c r="C31" i="1"/>
  <c r="K30" i="1"/>
  <c r="E30" i="1" s="1"/>
  <c r="M30" i="1" s="1"/>
  <c r="I30" i="1"/>
  <c r="C30" i="1"/>
  <c r="I29" i="1"/>
  <c r="C29" i="1"/>
  <c r="E29" i="1" s="1"/>
  <c r="I28" i="1"/>
  <c r="C28" i="1"/>
  <c r="E28" i="1" s="1"/>
  <c r="I27" i="1"/>
  <c r="C27" i="1"/>
  <c r="E27" i="1" s="1"/>
  <c r="I26" i="1"/>
  <c r="C26" i="1"/>
  <c r="E26" i="1" s="1"/>
  <c r="I25" i="1"/>
  <c r="C19" i="1"/>
  <c r="C25" i="1" s="1"/>
  <c r="C35" i="1" s="1"/>
  <c r="J17" i="1"/>
  <c r="J18" i="1" s="1"/>
  <c r="J20" i="1" l="1"/>
  <c r="R28" i="1" s="1"/>
  <c r="J19" i="1"/>
  <c r="M26" i="1"/>
  <c r="L26" i="1"/>
  <c r="M29" i="1"/>
  <c r="L29" i="1"/>
  <c r="L32" i="1"/>
  <c r="D27" i="1"/>
  <c r="D30" i="1"/>
  <c r="D31" i="1"/>
  <c r="M28" i="1"/>
  <c r="L28" i="1"/>
  <c r="D28" i="1"/>
  <c r="C37" i="1"/>
  <c r="D32" i="1"/>
  <c r="D29" i="1"/>
  <c r="D26" i="1"/>
  <c r="D33" i="1"/>
  <c r="E25" i="1"/>
  <c r="E31" i="1"/>
  <c r="N34" i="1"/>
  <c r="B25" i="1"/>
  <c r="B35" i="1" s="1"/>
  <c r="L27" i="1"/>
  <c r="L33" i="1"/>
  <c r="M27" i="1"/>
  <c r="L30" i="1"/>
  <c r="M33" i="1"/>
  <c r="C20" i="1"/>
  <c r="D25" i="1"/>
  <c r="I16" i="1" l="1"/>
  <c r="O26" i="1"/>
  <c r="N26" i="1"/>
  <c r="D35" i="1"/>
  <c r="O32" i="1"/>
  <c r="N32" i="1"/>
  <c r="O29" i="1"/>
  <c r="N29" i="1"/>
  <c r="N33" i="1"/>
  <c r="O33" i="1"/>
  <c r="C41" i="1"/>
  <c r="C38" i="1"/>
  <c r="N27" i="1"/>
  <c r="O27" i="1"/>
  <c r="L25" i="1"/>
  <c r="E35" i="1"/>
  <c r="F31" i="1" s="1"/>
  <c r="M25" i="1"/>
  <c r="O28" i="1"/>
  <c r="N28" i="1"/>
  <c r="L31" i="1"/>
  <c r="M31" i="1"/>
  <c r="O30" i="1"/>
  <c r="N30" i="1"/>
  <c r="C42" i="1" l="1"/>
  <c r="C49" i="1"/>
  <c r="M35" i="1"/>
  <c r="J35" i="1" s="1"/>
  <c r="K35" i="1"/>
  <c r="F32" i="1"/>
  <c r="F29" i="1"/>
  <c r="F26" i="1"/>
  <c r="F34" i="1"/>
  <c r="F28" i="1"/>
  <c r="F33" i="1"/>
  <c r="F30" i="1"/>
  <c r="F27" i="1"/>
  <c r="O25" i="1"/>
  <c r="N25" i="1"/>
  <c r="L35" i="1"/>
  <c r="O31" i="1"/>
  <c r="N31" i="1"/>
  <c r="F25" i="1"/>
  <c r="F35" i="1" l="1"/>
  <c r="N35" i="1"/>
  <c r="G35" i="1" s="1"/>
  <c r="C60" i="1"/>
  <c r="C52" i="1"/>
  <c r="C53" i="1" s="1"/>
  <c r="C54" i="1" s="1"/>
  <c r="C50" i="1"/>
  <c r="O35" i="1"/>
  <c r="H35" i="1" s="1"/>
  <c r="C62" i="1" l="1"/>
  <c r="C63" i="1" s="1"/>
  <c r="C61" i="1"/>
  <c r="I35" i="1"/>
  <c r="C69" i="1" l="1"/>
  <c r="C68" i="1"/>
  <c r="C72" i="1" l="1"/>
</calcChain>
</file>

<file path=xl/sharedStrings.xml><?xml version="1.0" encoding="utf-8"?>
<sst xmlns="http://schemas.openxmlformats.org/spreadsheetml/2006/main" count="131" uniqueCount="98">
  <si>
    <t>Composting slab system for Avian Flu Depopulation Mortalities</t>
  </si>
  <si>
    <t>Fred Michel and Harold Keener, FABE Department</t>
  </si>
  <si>
    <t>OARDC/OSU, Wooster, OH 44691</t>
  </si>
  <si>
    <t>330-263-3859; michel.36@osu.edu</t>
  </si>
  <si>
    <t>Converter</t>
  </si>
  <si>
    <t>kg/m3</t>
  </si>
  <si>
    <t>Birds to Compost</t>
  </si>
  <si>
    <t>lb/m3</t>
  </si>
  <si>
    <t>Animal Weight</t>
  </si>
  <si>
    <t>lb/bird</t>
  </si>
  <si>
    <t>lb/yd3</t>
  </si>
  <si>
    <t>Animal weight</t>
  </si>
  <si>
    <t>lb total</t>
  </si>
  <si>
    <t>lb/ft3</t>
  </si>
  <si>
    <t>http://www1.agric.gov.ab.ca/%24department/deptdocs.nsf/all/agdex8875</t>
  </si>
  <si>
    <t>Amendment/Bird Ratio</t>
  </si>
  <si>
    <t>should be 6 to 12</t>
  </si>
  <si>
    <t>ft3/ft3</t>
  </si>
  <si>
    <t>ton/yd3</t>
  </si>
  <si>
    <t>Bulk</t>
  </si>
  <si>
    <t>Dry</t>
  </si>
  <si>
    <t>Water</t>
  </si>
  <si>
    <t>C</t>
  </si>
  <si>
    <t>N</t>
  </si>
  <si>
    <t>Comments</t>
  </si>
  <si>
    <t>Feedstocks</t>
  </si>
  <si>
    <t>Volume</t>
  </si>
  <si>
    <t xml:space="preserve">Volume </t>
  </si>
  <si>
    <t>Wet Weight</t>
  </si>
  <si>
    <t>Weight</t>
  </si>
  <si>
    <t>C/N</t>
  </si>
  <si>
    <t>Moist</t>
  </si>
  <si>
    <t>Density</t>
  </si>
  <si>
    <t>Mass</t>
  </si>
  <si>
    <t>yd3</t>
  </si>
  <si>
    <t>ft3</t>
  </si>
  <si>
    <t>%</t>
  </si>
  <si>
    <t>lb</t>
  </si>
  <si>
    <t>% w.b.</t>
  </si>
  <si>
    <t>Dead birds</t>
  </si>
  <si>
    <t>water density</t>
  </si>
  <si>
    <t>sawdust (fresh)</t>
  </si>
  <si>
    <t>sawdust (old)</t>
  </si>
  <si>
    <t>Stored Poultry manure</t>
  </si>
  <si>
    <t>15000 tons per manure building</t>
  </si>
  <si>
    <t>straw</t>
  </si>
  <si>
    <t>wood mulch double grind</t>
  </si>
  <si>
    <t>leaf compost</t>
  </si>
  <si>
    <t>corn stover</t>
  </si>
  <si>
    <t>woodchips</t>
  </si>
  <si>
    <t>Water to Add</t>
  </si>
  <si>
    <t xml:space="preserve"> </t>
  </si>
  <si>
    <t>SUM</t>
  </si>
  <si>
    <t xml:space="preserve">Volume of Poultry Mortality compost = </t>
  </si>
  <si>
    <t>Height</t>
  </si>
  <si>
    <t>ft</t>
  </si>
  <si>
    <t>Width</t>
  </si>
  <si>
    <t>Length (calculated)</t>
  </si>
  <si>
    <t>Area without biofilter</t>
  </si>
  <si>
    <t>ft2</t>
  </si>
  <si>
    <t>Biofilter</t>
  </si>
  <si>
    <t>Side biofilter thickness =</t>
  </si>
  <si>
    <t>Base material depth =</t>
  </si>
  <si>
    <t>Top biofilter layer height =</t>
  </si>
  <si>
    <t>Base area with sides</t>
  </si>
  <si>
    <t>Total footprint</t>
  </si>
  <si>
    <t>Acre</t>
  </si>
  <si>
    <t>Total Height</t>
  </si>
  <si>
    <t xml:space="preserve">ft </t>
  </si>
  <si>
    <t>Wood chips</t>
  </si>
  <si>
    <t>Total slab volume</t>
  </si>
  <si>
    <t>Slab plus base and biofilter</t>
  </si>
  <si>
    <t>Biofilter amendment needed</t>
  </si>
  <si>
    <t>Subtract bird volume and poultry litter volume from total</t>
  </si>
  <si>
    <t>gallons</t>
  </si>
  <si>
    <t>Water to add</t>
  </si>
  <si>
    <t>Base Volume</t>
  </si>
  <si>
    <t>Biofilter Volume</t>
  </si>
  <si>
    <t>Leaf compost</t>
  </si>
  <si>
    <t>Total Amendments (slab+biofilter)</t>
  </si>
  <si>
    <t>Cost/yd3</t>
  </si>
  <si>
    <t>Leaf Amendment cost</t>
  </si>
  <si>
    <t>Wood Chips</t>
  </si>
  <si>
    <t>Other</t>
  </si>
  <si>
    <t>TOTAL AMENDMENT COST</t>
  </si>
  <si>
    <t>Biofilter, base and compost amendment</t>
  </si>
  <si>
    <t>Directions:</t>
  </si>
  <si>
    <t>2. If needed adjust material properties (Cells in yellow)</t>
  </si>
  <si>
    <t xml:space="preserve"> 1. Enter number of birds, bird weight and volumes of available amendments (cells in Yellow and Blue).</t>
  </si>
  <si>
    <t>3. Check if Sawdust to mortality v/v ratio (cell A12) is between 6 &amp; 12.</t>
  </si>
  <si>
    <t>4. Adjust amount of water added (cell D29) Check compost moisture content (Cell F25). Ideal is 60%</t>
  </si>
  <si>
    <t xml:space="preserve">5. Choose active compost slab height and width. For biofilter choose side thickness, base depth and top depth. </t>
  </si>
  <si>
    <t>6. See size of slab and cost of amendment.</t>
  </si>
  <si>
    <t>Should</t>
  </si>
  <si>
    <t>Be &gt;30</t>
  </si>
  <si>
    <t>Should be</t>
  </si>
  <si>
    <t>55-60%</t>
  </si>
  <si>
    <t>Size of Slab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</si>
</sst>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0.\1"/>
    <numFmt numFmtId="167" formatCode="#,##0.000_);[Red]\(#,##0.000\)"/>
    <numFmt numFmtId="168" formatCode="0.000\ "/>
    <numFmt numFmtId="169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u/>
      <sz val="10"/>
      <name val="Calibri"/>
      <family val="2"/>
    </font>
    <font>
      <b/>
      <sz val="9"/>
      <color theme="1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165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/>
    <xf numFmtId="14" fontId="3" fillId="0" borderId="0" xfId="0" applyNumberFormat="1" applyFont="1" applyFill="1" applyBorder="1"/>
    <xf numFmtId="0" fontId="4" fillId="0" borderId="0" xfId="0" applyFont="1" applyFill="1" applyBorder="1" applyProtection="1"/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1" fontId="6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Border="1" applyProtection="1"/>
    <xf numFmtId="0" fontId="6" fillId="0" borderId="0" xfId="0" applyFont="1" applyFill="1" applyBorder="1"/>
    <xf numFmtId="164" fontId="4" fillId="0" borderId="0" xfId="0" applyNumberFormat="1" applyFont="1" applyFill="1" applyBorder="1" applyProtection="1"/>
    <xf numFmtId="0" fontId="7" fillId="0" borderId="0" xfId="0" applyFont="1" applyFill="1" applyBorder="1"/>
    <xf numFmtId="0" fontId="8" fillId="0" borderId="0" xfId="0" applyFont="1" applyBorder="1"/>
    <xf numFmtId="3" fontId="3" fillId="3" borderId="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166" fontId="3" fillId="2" borderId="0" xfId="0" applyNumberFormat="1" applyFont="1" applyFill="1" applyBorder="1"/>
    <xf numFmtId="1" fontId="3" fillId="2" borderId="0" xfId="0" applyNumberFormat="1" applyFont="1" applyFill="1" applyBorder="1" applyProtection="1"/>
    <xf numFmtId="1" fontId="6" fillId="0" borderId="0" xfId="0" applyNumberFormat="1" applyFont="1" applyFill="1" applyBorder="1"/>
    <xf numFmtId="2" fontId="3" fillId="0" borderId="0" xfId="0" applyNumberFormat="1" applyFont="1" applyFill="1" applyBorder="1" applyProtection="1"/>
    <xf numFmtId="164" fontId="3" fillId="3" borderId="1" xfId="0" applyNumberFormat="1" applyFont="1" applyFill="1" applyBorder="1" applyProtection="1">
      <protection locked="0"/>
    </xf>
    <xf numFmtId="0" fontId="9" fillId="0" borderId="0" xfId="0" applyFont="1" applyFill="1" applyBorder="1" applyProtection="1"/>
    <xf numFmtId="165" fontId="3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" fontId="3" fillId="0" borderId="0" xfId="0" applyNumberFormat="1" applyFont="1" applyFill="1" applyBorder="1" applyProtection="1"/>
    <xf numFmtId="164" fontId="3" fillId="2" borderId="0" xfId="0" applyNumberFormat="1" applyFont="1" applyFill="1" applyBorder="1"/>
    <xf numFmtId="3" fontId="3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11" fillId="4" borderId="1" xfId="0" applyNumberFormat="1" applyFont="1" applyFill="1" applyBorder="1" applyProtection="1">
      <protection locked="0"/>
    </xf>
    <xf numFmtId="167" fontId="3" fillId="0" borderId="0" xfId="1" applyNumberFormat="1" applyFont="1" applyFill="1" applyBorder="1"/>
    <xf numFmtId="1" fontId="12" fillId="0" borderId="0" xfId="0" applyNumberFormat="1" applyFont="1" applyFill="1" applyBorder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3" fillId="0" borderId="2" xfId="0" applyNumberFormat="1" applyFont="1" applyFill="1" applyBorder="1" applyAlignment="1" applyProtection="1">
      <alignment horizontal="center"/>
    </xf>
    <xf numFmtId="166" fontId="13" fillId="0" borderId="2" xfId="0" applyNumberFormat="1" applyFont="1" applyFill="1" applyBorder="1" applyAlignment="1" applyProtection="1">
      <alignment horizontal="center"/>
    </xf>
    <xf numFmtId="0" fontId="3" fillId="0" borderId="2" xfId="0" applyFont="1" applyFill="1" applyBorder="1"/>
    <xf numFmtId="0" fontId="13" fillId="2" borderId="0" xfId="0" applyFont="1" applyFill="1" applyBorder="1" applyAlignment="1" applyProtection="1">
      <alignment horizontal="center"/>
    </xf>
    <xf numFmtId="2" fontId="13" fillId="2" borderId="0" xfId="0" applyNumberFormat="1" applyFont="1" applyFill="1" applyBorder="1" applyAlignment="1" applyProtection="1">
      <alignment horizontal="center"/>
    </xf>
    <xf numFmtId="1" fontId="13" fillId="2" borderId="0" xfId="0" applyNumberFormat="1" applyFont="1" applyFill="1" applyBorder="1" applyAlignment="1" applyProtection="1">
      <alignment horizontal="center"/>
    </xf>
    <xf numFmtId="165" fontId="13" fillId="2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/>
    </xf>
    <xf numFmtId="2" fontId="13" fillId="2" borderId="3" xfId="0" applyNumberFormat="1" applyFont="1" applyFill="1" applyBorder="1" applyAlignment="1" applyProtection="1">
      <alignment horizontal="center"/>
    </xf>
    <xf numFmtId="1" fontId="13" fillId="2" borderId="3" xfId="0" applyNumberFormat="1" applyFont="1" applyFill="1" applyBorder="1" applyAlignment="1" applyProtection="1">
      <alignment horizontal="center"/>
    </xf>
    <xf numFmtId="165" fontId="13" fillId="2" borderId="3" xfId="0" applyNumberFormat="1" applyFont="1" applyFill="1" applyBorder="1" applyAlignment="1" applyProtection="1">
      <alignment horizontal="center"/>
    </xf>
    <xf numFmtId="164" fontId="13" fillId="2" borderId="3" xfId="0" applyNumberFormat="1" applyFont="1" applyFill="1" applyBorder="1" applyAlignment="1" applyProtection="1">
      <alignment horizontal="center"/>
    </xf>
    <xf numFmtId="1" fontId="13" fillId="0" borderId="3" xfId="0" applyNumberFormat="1" applyFont="1" applyFill="1" applyBorder="1" applyAlignment="1" applyProtection="1">
      <alignment horizontal="center"/>
    </xf>
    <xf numFmtId="166" fontId="13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left"/>
    </xf>
    <xf numFmtId="38" fontId="13" fillId="2" borderId="0" xfId="1" applyNumberFormat="1" applyFont="1" applyFill="1" applyBorder="1" applyAlignment="1" applyProtection="1">
      <alignment horizontal="right"/>
    </xf>
    <xf numFmtId="1" fontId="14" fillId="0" borderId="2" xfId="0" applyNumberFormat="1" applyFont="1" applyFill="1" applyBorder="1" applyAlignment="1" applyProtection="1">
      <alignment horizontal="right"/>
    </xf>
    <xf numFmtId="2" fontId="13" fillId="2" borderId="0" xfId="0" applyNumberFormat="1" applyFont="1" applyFill="1" applyBorder="1" applyAlignment="1" applyProtection="1">
      <alignment horizontal="right"/>
    </xf>
    <xf numFmtId="1" fontId="13" fillId="2" borderId="0" xfId="0" applyNumberFormat="1" applyFont="1" applyFill="1" applyBorder="1" applyAlignment="1" applyProtection="1">
      <alignment horizontal="right"/>
    </xf>
    <xf numFmtId="165" fontId="13" fillId="5" borderId="0" xfId="0" applyNumberFormat="1" applyFont="1" applyFill="1" applyBorder="1" applyAlignment="1" applyProtection="1">
      <alignment horizontal="right"/>
    </xf>
    <xf numFmtId="2" fontId="13" fillId="3" borderId="0" xfId="0" applyNumberFormat="1" applyFont="1" applyFill="1" applyBorder="1" applyAlignment="1" applyProtection="1">
      <alignment horizontal="right"/>
      <protection locked="0"/>
    </xf>
    <xf numFmtId="164" fontId="13" fillId="0" borderId="0" xfId="0" applyNumberFormat="1" applyFont="1" applyFill="1" applyBorder="1" applyAlignment="1" applyProtection="1">
      <alignment horizontal="right"/>
      <protection locked="0"/>
    </xf>
    <xf numFmtId="164" fontId="13" fillId="3" borderId="0" xfId="0" applyNumberFormat="1" applyFont="1" applyFill="1" applyBorder="1" applyAlignment="1" applyProtection="1">
      <alignment horizontal="right"/>
      <protection locked="0"/>
    </xf>
    <xf numFmtId="164" fontId="13" fillId="3" borderId="0" xfId="0" applyNumberFormat="1" applyFont="1" applyFill="1" applyBorder="1" applyAlignment="1" applyProtection="1">
      <alignment horizontal="center"/>
      <protection locked="0"/>
    </xf>
    <xf numFmtId="1" fontId="13" fillId="2" borderId="0" xfId="0" applyNumberFormat="1" applyFont="1" applyFill="1" applyBorder="1" applyProtection="1"/>
    <xf numFmtId="166" fontId="13" fillId="2" borderId="0" xfId="0" applyNumberFormat="1" applyFont="1" applyFill="1" applyBorder="1" applyProtection="1"/>
    <xf numFmtId="1" fontId="14" fillId="6" borderId="1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 applyProtection="1">
      <alignment horizontal="right"/>
    </xf>
    <xf numFmtId="1" fontId="14" fillId="6" borderId="4" xfId="0" applyNumberFormat="1" applyFont="1" applyFill="1" applyBorder="1" applyAlignment="1" applyProtection="1">
      <alignment horizontal="right"/>
    </xf>
    <xf numFmtId="38" fontId="3" fillId="0" borderId="0" xfId="1" applyNumberFormat="1" applyFont="1" applyFill="1" applyBorder="1"/>
    <xf numFmtId="0" fontId="13" fillId="2" borderId="3" xfId="0" applyFont="1" applyFill="1" applyBorder="1" applyAlignment="1" applyProtection="1">
      <alignment horizontal="left"/>
    </xf>
    <xf numFmtId="2" fontId="13" fillId="2" borderId="3" xfId="0" applyNumberFormat="1" applyFont="1" applyFill="1" applyBorder="1" applyAlignment="1" applyProtection="1">
      <alignment horizontal="right"/>
    </xf>
    <xf numFmtId="1" fontId="13" fillId="6" borderId="1" xfId="0" applyNumberFormat="1" applyFont="1" applyFill="1" applyBorder="1" applyAlignment="1" applyProtection="1">
      <alignment horizontal="right"/>
      <protection locked="0"/>
    </xf>
    <xf numFmtId="165" fontId="13" fillId="2" borderId="3" xfId="0" applyNumberFormat="1" applyFont="1" applyFill="1" applyBorder="1" applyAlignment="1" applyProtection="1">
      <alignment horizontal="right"/>
    </xf>
    <xf numFmtId="164" fontId="13" fillId="2" borderId="3" xfId="0" applyNumberFormat="1" applyFont="1" applyFill="1" applyBorder="1" applyAlignment="1" applyProtection="1">
      <alignment horizontal="right"/>
    </xf>
    <xf numFmtId="164" fontId="13" fillId="0" borderId="3" xfId="0" applyNumberFormat="1" applyFont="1" applyFill="1" applyBorder="1" applyAlignment="1" applyProtection="1">
      <alignment horizontal="right"/>
    </xf>
    <xf numFmtId="1" fontId="13" fillId="2" borderId="3" xfId="0" applyNumberFormat="1" applyFont="1" applyFill="1" applyBorder="1" applyProtection="1"/>
    <xf numFmtId="166" fontId="13" fillId="2" borderId="3" xfId="0" applyNumberFormat="1" applyFont="1" applyFill="1" applyBorder="1" applyProtection="1"/>
    <xf numFmtId="0" fontId="3" fillId="0" borderId="3" xfId="0" applyFont="1" applyFill="1" applyBorder="1"/>
    <xf numFmtId="0" fontId="13" fillId="0" borderId="5" xfId="0" applyFont="1" applyFill="1" applyBorder="1" applyProtection="1"/>
    <xf numFmtId="1" fontId="13" fillId="0" borderId="5" xfId="0" applyNumberFormat="1" applyFont="1" applyFill="1" applyBorder="1" applyAlignment="1" applyProtection="1">
      <alignment horizontal="right"/>
    </xf>
    <xf numFmtId="2" fontId="13" fillId="0" borderId="5" xfId="0" applyNumberFormat="1" applyFont="1" applyFill="1" applyBorder="1" applyAlignment="1" applyProtection="1">
      <alignment horizontal="right"/>
    </xf>
    <xf numFmtId="2" fontId="13" fillId="0" borderId="5" xfId="0" applyNumberFormat="1" applyFont="1" applyFill="1" applyBorder="1" applyAlignment="1" applyProtection="1">
      <alignment horizontal="center"/>
    </xf>
    <xf numFmtId="165" fontId="13" fillId="0" borderId="5" xfId="0" applyNumberFormat="1" applyFont="1" applyFill="1" applyBorder="1" applyAlignment="1" applyProtection="1">
      <alignment horizontal="right"/>
    </xf>
    <xf numFmtId="164" fontId="11" fillId="4" borderId="1" xfId="0" applyNumberFormat="1" applyFont="1" applyFill="1" applyBorder="1" applyAlignment="1" applyProtection="1">
      <alignment horizontal="right"/>
    </xf>
    <xf numFmtId="164" fontId="13" fillId="0" borderId="5" xfId="0" applyNumberFormat="1" applyFont="1" applyFill="1" applyBorder="1" applyAlignment="1" applyProtection="1">
      <alignment horizontal="center"/>
    </xf>
    <xf numFmtId="1" fontId="13" fillId="0" borderId="5" xfId="0" applyNumberFormat="1" applyFont="1" applyFill="1" applyBorder="1" applyProtection="1"/>
    <xf numFmtId="166" fontId="13" fillId="0" borderId="5" xfId="0" applyNumberFormat="1" applyFont="1" applyFill="1" applyBorder="1" applyProtection="1"/>
    <xf numFmtId="0" fontId="3" fillId="0" borderId="5" xfId="0" applyFont="1" applyFill="1" applyBorder="1"/>
    <xf numFmtId="1" fontId="3" fillId="7" borderId="0" xfId="0" applyNumberFormat="1" applyFont="1" applyFill="1" applyBorder="1" applyProtection="1"/>
    <xf numFmtId="0" fontId="1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Protection="1"/>
    <xf numFmtId="0" fontId="9" fillId="0" borderId="0" xfId="0" applyFont="1" applyBorder="1" applyProtection="1"/>
    <xf numFmtId="164" fontId="3" fillId="3" borderId="1" xfId="0" applyNumberFormat="1" applyFont="1" applyFill="1" applyBorder="1" applyAlignment="1" applyProtection="1">
      <alignment horizontal="center"/>
      <protection locked="0"/>
    </xf>
    <xf numFmtId="38" fontId="3" fillId="0" borderId="0" xfId="1" applyNumberFormat="1" applyFont="1" applyBorder="1"/>
    <xf numFmtId="168" fontId="3" fillId="0" borderId="0" xfId="0" applyNumberFormat="1" applyFont="1" applyFill="1" applyBorder="1" applyProtection="1"/>
    <xf numFmtId="164" fontId="9" fillId="2" borderId="0" xfId="0" applyNumberFormat="1" applyFont="1" applyFill="1" applyBorder="1" applyProtection="1"/>
    <xf numFmtId="38" fontId="3" fillId="0" borderId="0" xfId="1" applyNumberFormat="1" applyFont="1" applyBorder="1" applyProtection="1"/>
    <xf numFmtId="2" fontId="3" fillId="2" borderId="0" xfId="0" applyNumberFormat="1" applyFont="1" applyFill="1" applyBorder="1" applyProtection="1"/>
    <xf numFmtId="169" fontId="3" fillId="0" borderId="0" xfId="2" applyNumberFormat="1" applyFont="1" applyBorder="1" applyProtection="1"/>
    <xf numFmtId="0" fontId="9" fillId="0" borderId="0" xfId="0" applyFont="1" applyBorder="1"/>
    <xf numFmtId="40" fontId="3" fillId="0" borderId="0" xfId="1" applyNumberFormat="1" applyFont="1" applyBorder="1"/>
    <xf numFmtId="40" fontId="3" fillId="0" borderId="0" xfId="1" applyNumberFormat="1" applyFont="1" applyFill="1" applyBorder="1"/>
    <xf numFmtId="2" fontId="10" fillId="2" borderId="0" xfId="0" applyNumberFormat="1" applyFont="1" applyFill="1" applyBorder="1" applyProtection="1"/>
    <xf numFmtId="6" fontId="3" fillId="5" borderId="1" xfId="0" applyNumberFormat="1" applyFont="1" applyFill="1" applyBorder="1" applyProtection="1"/>
    <xf numFmtId="169" fontId="9" fillId="0" borderId="1" xfId="2" applyNumberFormat="1" applyFont="1" applyBorder="1" applyProtection="1"/>
    <xf numFmtId="0" fontId="9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Protection="1"/>
    <xf numFmtId="38" fontId="14" fillId="0" borderId="1" xfId="1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/>
    <xf numFmtId="38" fontId="14" fillId="0" borderId="0" xfId="1" applyNumberFormat="1" applyFont="1" applyFill="1" applyBorder="1"/>
    <xf numFmtId="1" fontId="11" fillId="4" borderId="1" xfId="0" applyNumberFormat="1" applyFont="1" applyFill="1" applyBorder="1"/>
    <xf numFmtId="1" fontId="9" fillId="5" borderId="1" xfId="0" applyNumberFormat="1" applyFont="1" applyFill="1" applyBorder="1" applyProtection="1"/>
    <xf numFmtId="1" fontId="9" fillId="5" borderId="1" xfId="0" applyNumberFormat="1" applyFont="1" applyFill="1" applyBorder="1" applyProtection="1">
      <protection locked="0"/>
    </xf>
    <xf numFmtId="1" fontId="9" fillId="7" borderId="0" xfId="0" applyNumberFormat="1" applyFont="1" applyFill="1" applyBorder="1" applyProtection="1"/>
    <xf numFmtId="0" fontId="17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="75" zoomScaleNormal="75" workbookViewId="0">
      <selection activeCell="H6" sqref="H6"/>
    </sheetView>
  </sheetViews>
  <sheetFormatPr defaultColWidth="10.140625" defaultRowHeight="12.75" x14ac:dyDescent="0.2"/>
  <cols>
    <col min="1" max="2" width="27.28515625" style="2" customWidth="1"/>
    <col min="3" max="3" width="20.28515625" style="2" customWidth="1"/>
    <col min="4" max="4" width="10.42578125" style="2" customWidth="1"/>
    <col min="5" max="5" width="12.85546875" style="2" customWidth="1"/>
    <col min="6" max="6" width="10.28515625" style="2" customWidth="1"/>
    <col min="7" max="7" width="10.5703125" style="2" customWidth="1"/>
    <col min="8" max="8" width="16.7109375" style="2" customWidth="1"/>
    <col min="9" max="9" width="12.5703125" style="2" customWidth="1"/>
    <col min="10" max="10" width="15.7109375" style="2" customWidth="1"/>
    <col min="11" max="11" width="21.5703125" style="2" customWidth="1"/>
    <col min="12" max="12" width="11.28515625" style="2" customWidth="1"/>
    <col min="13" max="14" width="10.28515625" style="2" customWidth="1"/>
    <col min="15" max="15" width="14.85546875" style="2" customWidth="1"/>
    <col min="16" max="16" width="10.28515625" style="2" customWidth="1"/>
    <col min="17" max="18" width="10.140625" style="3"/>
    <col min="19" max="19" width="10.42578125" style="3" bestFit="1" customWidth="1"/>
    <col min="20" max="16384" width="10.140625" style="3"/>
  </cols>
  <sheetData>
    <row r="1" spans="1:19" ht="21" x14ac:dyDescent="0.35">
      <c r="A1" s="136" t="s">
        <v>0</v>
      </c>
      <c r="B1" s="1"/>
    </row>
    <row r="3" spans="1:19" s="5" customFormat="1" x14ac:dyDescent="0.2">
      <c r="A3" s="4" t="s">
        <v>1</v>
      </c>
      <c r="B3" s="4"/>
      <c r="D3" s="6"/>
      <c r="E3" s="7"/>
      <c r="F3" s="8"/>
      <c r="H3" s="4"/>
      <c r="I3" s="9"/>
      <c r="J3" s="8"/>
      <c r="K3" s="10"/>
      <c r="L3" s="9"/>
      <c r="M3" s="8"/>
      <c r="N3" s="9"/>
      <c r="O3" s="9"/>
      <c r="P3" s="11"/>
      <c r="Q3" s="11"/>
    </row>
    <row r="4" spans="1:19" s="5" customFormat="1" x14ac:dyDescent="0.2">
      <c r="A4" s="4" t="s">
        <v>2</v>
      </c>
      <c r="B4" s="4"/>
      <c r="E4" s="7"/>
      <c r="F4" s="8"/>
      <c r="H4" s="4"/>
      <c r="I4" s="9"/>
      <c r="J4" s="8"/>
      <c r="K4" s="10"/>
      <c r="L4" s="9"/>
      <c r="M4" s="8"/>
      <c r="N4" s="9"/>
      <c r="O4" s="9"/>
      <c r="P4" s="11"/>
      <c r="Q4" s="11"/>
    </row>
    <row r="5" spans="1:19" s="5" customFormat="1" x14ac:dyDescent="0.2">
      <c r="A5" s="4" t="s">
        <v>3</v>
      </c>
      <c r="B5" s="4"/>
      <c r="C5" s="12"/>
      <c r="E5" s="7"/>
      <c r="F5" s="8"/>
      <c r="H5" s="4"/>
      <c r="I5" s="9"/>
      <c r="J5" s="8"/>
      <c r="K5" s="8"/>
      <c r="L5" s="9"/>
      <c r="M5" s="8"/>
      <c r="N5" s="9"/>
      <c r="O5" s="9"/>
      <c r="P5" s="11"/>
      <c r="Q5" s="11"/>
    </row>
    <row r="6" spans="1:19" ht="15.75" x14ac:dyDescent="0.25">
      <c r="A6" s="1"/>
      <c r="B6" s="1"/>
    </row>
    <row r="7" spans="1:19" s="5" customFormat="1" ht="15.75" x14ac:dyDescent="0.25">
      <c r="A7" s="122" t="s">
        <v>86</v>
      </c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9" ht="15.75" x14ac:dyDescent="0.25">
      <c r="A8" s="124" t="s">
        <v>88</v>
      </c>
      <c r="B8" s="13"/>
      <c r="C8" s="14"/>
      <c r="D8" s="15"/>
      <c r="E8" s="16"/>
      <c r="F8" s="14"/>
      <c r="G8" s="14"/>
      <c r="H8" s="17"/>
      <c r="I8" s="17"/>
      <c r="J8" s="17"/>
      <c r="K8" s="17"/>
      <c r="L8" s="16"/>
      <c r="M8" s="18"/>
      <c r="N8" s="19"/>
      <c r="O8" s="19"/>
      <c r="P8" s="20"/>
      <c r="Q8" s="21"/>
      <c r="R8" s="5"/>
      <c r="S8" s="5"/>
    </row>
    <row r="9" spans="1:19" ht="15.75" x14ac:dyDescent="0.25">
      <c r="A9" s="124" t="s">
        <v>87</v>
      </c>
      <c r="B9" s="13"/>
      <c r="C9" s="14"/>
      <c r="D9" s="15"/>
      <c r="E9" s="16"/>
      <c r="F9" s="14"/>
      <c r="G9" s="14"/>
      <c r="H9" s="17"/>
      <c r="I9" s="17"/>
      <c r="J9" s="17"/>
      <c r="K9" s="17"/>
      <c r="L9" s="16"/>
      <c r="M9" s="18"/>
      <c r="N9" s="19"/>
      <c r="O9" s="19"/>
      <c r="P9" s="20"/>
      <c r="Q9" s="21"/>
      <c r="R9" s="5"/>
      <c r="S9" s="5"/>
    </row>
    <row r="10" spans="1:19" ht="15.75" x14ac:dyDescent="0.25">
      <c r="A10" s="124" t="s">
        <v>89</v>
      </c>
      <c r="B10" s="13"/>
      <c r="C10" s="14"/>
      <c r="D10" s="15"/>
      <c r="E10" s="16"/>
      <c r="F10" s="14"/>
      <c r="G10" s="14"/>
      <c r="H10" s="17"/>
      <c r="I10" s="17"/>
      <c r="J10" s="17"/>
      <c r="K10" s="17"/>
      <c r="L10" s="16"/>
      <c r="M10" s="18"/>
      <c r="N10" s="19"/>
      <c r="O10" s="19"/>
      <c r="P10" s="20"/>
      <c r="Q10" s="21"/>
      <c r="R10" s="5"/>
      <c r="S10" s="5"/>
    </row>
    <row r="11" spans="1:19" ht="15.75" x14ac:dyDescent="0.25">
      <c r="A11" s="124" t="s">
        <v>90</v>
      </c>
      <c r="B11" s="13"/>
      <c r="C11" s="17"/>
      <c r="D11" s="17"/>
      <c r="E11" s="17"/>
      <c r="F11" s="17"/>
      <c r="G11" s="17"/>
      <c r="H11" s="14"/>
      <c r="I11" s="17"/>
      <c r="J11" s="17"/>
      <c r="K11" s="17"/>
      <c r="L11" s="17"/>
      <c r="M11" s="18"/>
      <c r="N11" s="19"/>
      <c r="O11" s="19"/>
      <c r="P11" s="20"/>
      <c r="Q11" s="21"/>
      <c r="R11" s="5"/>
      <c r="S11" s="5"/>
    </row>
    <row r="12" spans="1:19" ht="15.75" x14ac:dyDescent="0.25">
      <c r="A12" s="123" t="s">
        <v>91</v>
      </c>
      <c r="B12" s="22"/>
      <c r="C12" s="17"/>
      <c r="D12" s="17"/>
      <c r="E12" s="17"/>
      <c r="F12" s="17"/>
      <c r="G12" s="17"/>
      <c r="H12" s="14"/>
      <c r="I12" s="17"/>
      <c r="J12" s="17"/>
      <c r="K12" s="17"/>
      <c r="L12" s="17"/>
      <c r="M12" s="18"/>
      <c r="N12" s="19"/>
      <c r="O12" s="19"/>
      <c r="P12" s="20"/>
      <c r="Q12" s="21"/>
      <c r="R12" s="5"/>
      <c r="S12" s="5"/>
    </row>
    <row r="13" spans="1:19" ht="15.75" x14ac:dyDescent="0.25">
      <c r="A13" s="123" t="s">
        <v>92</v>
      </c>
      <c r="B13" s="23"/>
      <c r="C13" s="17"/>
      <c r="D13" s="17"/>
      <c r="E13" s="17"/>
      <c r="F13" s="17"/>
      <c r="G13" s="17"/>
      <c r="H13" s="14"/>
      <c r="I13" s="17"/>
      <c r="J13" s="17"/>
      <c r="K13" s="17"/>
      <c r="L13" s="17"/>
      <c r="M13" s="18"/>
      <c r="N13" s="19"/>
      <c r="O13" s="19"/>
      <c r="P13" s="20"/>
      <c r="Q13" s="21"/>
      <c r="R13" s="5"/>
      <c r="S13" s="5"/>
    </row>
    <row r="14" spans="1:19" ht="15.75" x14ac:dyDescent="0.25">
      <c r="A14" s="3"/>
      <c r="B14" s="23"/>
      <c r="C14" s="17"/>
      <c r="D14" s="17"/>
      <c r="E14" s="17"/>
      <c r="F14" s="17"/>
      <c r="G14" s="17"/>
      <c r="H14" s="14"/>
      <c r="I14" s="17"/>
      <c r="J14" s="17"/>
      <c r="K14" s="17"/>
      <c r="L14" s="17"/>
      <c r="M14" s="18"/>
      <c r="N14" s="19"/>
      <c r="O14" s="19"/>
      <c r="P14" s="20"/>
      <c r="Q14" s="21"/>
      <c r="R14" s="5"/>
      <c r="S14" s="5"/>
    </row>
    <row r="15" spans="1:19" ht="15.75" x14ac:dyDescent="0.25">
      <c r="A15" s="24"/>
      <c r="B15" s="24"/>
      <c r="C15" s="17"/>
      <c r="D15" s="17"/>
      <c r="E15" s="17"/>
      <c r="F15" s="17"/>
      <c r="G15" s="17"/>
      <c r="H15" s="14"/>
      <c r="I15" s="17"/>
      <c r="J15" s="17" t="s">
        <v>4</v>
      </c>
      <c r="K15" s="17"/>
      <c r="L15" s="17"/>
      <c r="M15" s="18"/>
      <c r="N15" s="19"/>
      <c r="O15" s="19"/>
      <c r="P15" s="20"/>
      <c r="Q15" s="21"/>
      <c r="R15" s="5"/>
      <c r="S15" s="5"/>
    </row>
    <row r="16" spans="1:19" ht="15.75" x14ac:dyDescent="0.25">
      <c r="A16" s="24"/>
      <c r="B16" s="24"/>
      <c r="C16" s="17"/>
      <c r="D16" s="17"/>
      <c r="E16" s="17"/>
      <c r="F16" s="17"/>
      <c r="G16" s="17"/>
      <c r="H16" s="14"/>
      <c r="I16" s="2">
        <f>J16/J20</f>
        <v>1152.6854370236056</v>
      </c>
      <c r="J16" s="17">
        <v>470</v>
      </c>
      <c r="K16" s="17" t="s">
        <v>5</v>
      </c>
      <c r="L16" s="17"/>
      <c r="M16" s="18"/>
      <c r="N16" s="19"/>
      <c r="O16" s="19"/>
      <c r="P16" s="20"/>
      <c r="Q16" s="21"/>
      <c r="R16" s="5"/>
      <c r="S16" s="5"/>
    </row>
    <row r="17" spans="1:19" ht="15.75" x14ac:dyDescent="0.25">
      <c r="A17" s="6" t="s">
        <v>6</v>
      </c>
      <c r="B17" s="6"/>
      <c r="C17" s="25">
        <v>150000</v>
      </c>
      <c r="D17" s="6"/>
      <c r="E17" s="3"/>
      <c r="F17" s="5"/>
      <c r="G17" s="26"/>
      <c r="J17" s="2">
        <f>J16*2.206</f>
        <v>1036.82</v>
      </c>
      <c r="K17" s="2" t="s">
        <v>7</v>
      </c>
      <c r="L17" s="9"/>
      <c r="M17" s="27"/>
      <c r="N17" s="28"/>
      <c r="O17" s="19"/>
      <c r="P17" s="19"/>
      <c r="Q17" s="29"/>
      <c r="R17" s="5"/>
      <c r="S17" s="5"/>
    </row>
    <row r="18" spans="1:19" x14ac:dyDescent="0.2">
      <c r="A18" s="30" t="s">
        <v>8</v>
      </c>
      <c r="B18" s="30"/>
      <c r="C18" s="31">
        <v>4</v>
      </c>
      <c r="D18" s="5" t="s">
        <v>9</v>
      </c>
      <c r="E18" s="3"/>
      <c r="F18" s="5"/>
      <c r="G18" s="5"/>
      <c r="H18" s="32"/>
      <c r="I18" s="32"/>
      <c r="J18" s="33">
        <f>36^3/39^3*J17</f>
        <v>815.48700955848881</v>
      </c>
      <c r="K18" s="34" t="s">
        <v>10</v>
      </c>
      <c r="L18" s="35"/>
      <c r="M18" s="27"/>
      <c r="N18" s="36"/>
      <c r="O18" s="19"/>
      <c r="P18" s="19"/>
      <c r="Q18" s="5"/>
      <c r="R18" s="5"/>
      <c r="S18" s="5"/>
    </row>
    <row r="19" spans="1:19" x14ac:dyDescent="0.2">
      <c r="A19" s="6" t="s">
        <v>11</v>
      </c>
      <c r="B19" s="6"/>
      <c r="C19" s="37">
        <f>C17*C18</f>
        <v>600000</v>
      </c>
      <c r="D19" s="3" t="s">
        <v>12</v>
      </c>
      <c r="E19" s="3"/>
      <c r="F19" s="5"/>
      <c r="G19" s="5"/>
      <c r="H19" s="38"/>
      <c r="I19" s="6"/>
      <c r="J19" s="39">
        <f>J18/27</f>
        <v>30.203222576240325</v>
      </c>
      <c r="K19" s="5" t="s">
        <v>13</v>
      </c>
      <c r="L19" s="19" t="s">
        <v>14</v>
      </c>
      <c r="M19" s="19"/>
      <c r="N19" s="28"/>
      <c r="O19" s="19"/>
      <c r="Q19" s="5"/>
      <c r="R19" s="5"/>
      <c r="S19" s="5"/>
    </row>
    <row r="20" spans="1:19" ht="18.75" x14ac:dyDescent="0.3">
      <c r="A20" s="35" t="s">
        <v>15</v>
      </c>
      <c r="B20" s="133" t="s">
        <v>16</v>
      </c>
      <c r="C20" s="40">
        <f>SUM(C26:C34)/C25</f>
        <v>6.7083333333333321</v>
      </c>
      <c r="D20" s="3" t="s">
        <v>17</v>
      </c>
      <c r="F20" s="5"/>
      <c r="G20" s="5"/>
      <c r="H20" s="5"/>
      <c r="I20" s="5"/>
      <c r="J20" s="41">
        <f>J18/2000</f>
        <v>0.40774350477924443</v>
      </c>
      <c r="K20" s="5" t="s">
        <v>18</v>
      </c>
      <c r="L20" s="5"/>
      <c r="M20" s="5"/>
      <c r="N20" s="5"/>
      <c r="O20" s="5"/>
      <c r="P20" s="3"/>
      <c r="Q20" s="5"/>
      <c r="R20" s="5"/>
      <c r="S20" s="5"/>
    </row>
    <row r="21" spans="1:19" x14ac:dyDescent="0.2">
      <c r="A21" s="35"/>
      <c r="B21" s="35"/>
      <c r="C21" s="42"/>
      <c r="D21" s="3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3"/>
      <c r="Q21" s="5"/>
      <c r="R21" s="5"/>
      <c r="S21" s="5"/>
    </row>
    <row r="22" spans="1:19" s="43" customFormat="1" x14ac:dyDescent="0.2">
      <c r="K22" s="44" t="s">
        <v>19</v>
      </c>
      <c r="L22" s="45" t="s">
        <v>20</v>
      </c>
      <c r="M22" s="45" t="s">
        <v>21</v>
      </c>
      <c r="N22" s="46" t="s">
        <v>22</v>
      </c>
      <c r="O22" s="46" t="s">
        <v>23</v>
      </c>
      <c r="P22" s="47" t="s">
        <v>24</v>
      </c>
      <c r="Q22" s="47"/>
      <c r="R22" s="47"/>
    </row>
    <row r="23" spans="1:19" s="56" customFormat="1" x14ac:dyDescent="0.2">
      <c r="A23" s="48" t="s">
        <v>25</v>
      </c>
      <c r="B23" s="48" t="s">
        <v>26</v>
      </c>
      <c r="C23" s="49" t="s">
        <v>27</v>
      </c>
      <c r="D23" s="49" t="s">
        <v>26</v>
      </c>
      <c r="E23" s="50" t="s">
        <v>28</v>
      </c>
      <c r="F23" s="49" t="s">
        <v>29</v>
      </c>
      <c r="G23" s="51" t="s">
        <v>22</v>
      </c>
      <c r="H23" s="49" t="s">
        <v>23</v>
      </c>
      <c r="I23" s="52" t="s">
        <v>30</v>
      </c>
      <c r="J23" s="52" t="s">
        <v>31</v>
      </c>
      <c r="K23" s="50" t="s">
        <v>32</v>
      </c>
      <c r="L23" s="53" t="s">
        <v>33</v>
      </c>
      <c r="M23" s="53" t="s">
        <v>33</v>
      </c>
      <c r="N23" s="54" t="s">
        <v>33</v>
      </c>
      <c r="O23" s="54" t="s">
        <v>33</v>
      </c>
      <c r="P23" s="55"/>
      <c r="Q23" s="55"/>
      <c r="R23" s="55"/>
    </row>
    <row r="24" spans="1:19" s="65" customFormat="1" x14ac:dyDescent="0.2">
      <c r="A24" s="57"/>
      <c r="B24" s="57" t="s">
        <v>34</v>
      </c>
      <c r="C24" s="49" t="s">
        <v>35</v>
      </c>
      <c r="D24" s="58" t="s">
        <v>36</v>
      </c>
      <c r="E24" s="59" t="s">
        <v>37</v>
      </c>
      <c r="F24" s="58" t="s">
        <v>36</v>
      </c>
      <c r="G24" s="60" t="s">
        <v>36</v>
      </c>
      <c r="H24" s="58" t="s">
        <v>36</v>
      </c>
      <c r="I24" s="61"/>
      <c r="J24" s="61" t="s">
        <v>38</v>
      </c>
      <c r="K24" s="59" t="s">
        <v>13</v>
      </c>
      <c r="L24" s="62" t="s">
        <v>37</v>
      </c>
      <c r="M24" s="62" t="s">
        <v>37</v>
      </c>
      <c r="N24" s="63" t="s">
        <v>37</v>
      </c>
      <c r="O24" s="63" t="s">
        <v>37</v>
      </c>
      <c r="P24" s="64"/>
      <c r="Q24" s="64"/>
      <c r="R24" s="64"/>
    </row>
    <row r="25" spans="1:19" x14ac:dyDescent="0.2">
      <c r="A25" s="66" t="s">
        <v>39</v>
      </c>
      <c r="B25" s="67">
        <f>C25/27</f>
        <v>342.85714285714289</v>
      </c>
      <c r="C25" s="68">
        <f>C19/K25</f>
        <v>9257.1428571428587</v>
      </c>
      <c r="D25" s="69">
        <f>C25/C35</f>
        <v>0.12972972972972976</v>
      </c>
      <c r="E25" s="70">
        <f t="shared" ref="E25:E33" si="0">C25*K25</f>
        <v>600000</v>
      </c>
      <c r="F25" s="49">
        <f>E25/E35</f>
        <v>0.35328198968416591</v>
      </c>
      <c r="G25" s="71">
        <v>37.5</v>
      </c>
      <c r="H25" s="72">
        <v>7.5</v>
      </c>
      <c r="I25" s="73">
        <f>G25/H25</f>
        <v>5</v>
      </c>
      <c r="J25" s="74">
        <v>85</v>
      </c>
      <c r="K25" s="75">
        <v>64.81481481481481</v>
      </c>
      <c r="L25" s="76">
        <f t="shared" ref="L25:L34" si="1">E25*(100-J25)/100</f>
        <v>90000</v>
      </c>
      <c r="M25" s="76">
        <f t="shared" ref="M25:M34" si="2">E25*J25/100</f>
        <v>510000</v>
      </c>
      <c r="N25" s="77">
        <f t="shared" ref="N25:N34" si="3">L25*G25/100</f>
        <v>33750</v>
      </c>
      <c r="O25" s="77">
        <f t="shared" ref="O25:O34" si="4">L25*H25/100</f>
        <v>6750</v>
      </c>
      <c r="P25" s="5" t="s">
        <v>40</v>
      </c>
      <c r="Q25" s="5"/>
      <c r="R25" s="5"/>
    </row>
    <row r="26" spans="1:19" x14ac:dyDescent="0.2">
      <c r="A26" s="66" t="s">
        <v>41</v>
      </c>
      <c r="B26" s="78">
        <v>800</v>
      </c>
      <c r="C26" s="79">
        <f>B26*27</f>
        <v>21600</v>
      </c>
      <c r="D26" s="69">
        <f>C26/C35</f>
        <v>0.30270270270270272</v>
      </c>
      <c r="E26" s="70">
        <f t="shared" si="0"/>
        <v>369360.00000000006</v>
      </c>
      <c r="F26" s="49">
        <f>E26/E35</f>
        <v>0.21748039284957257</v>
      </c>
      <c r="G26" s="71">
        <v>43.26</v>
      </c>
      <c r="H26" s="72">
        <v>0.21</v>
      </c>
      <c r="I26" s="73">
        <f t="shared" ref="I26:I33" si="5">G26/H26</f>
        <v>206</v>
      </c>
      <c r="J26" s="74">
        <v>20</v>
      </c>
      <c r="K26" s="75">
        <v>17.100000000000001</v>
      </c>
      <c r="L26" s="76">
        <f t="shared" si="1"/>
        <v>295488.00000000006</v>
      </c>
      <c r="M26" s="76">
        <f t="shared" si="2"/>
        <v>73872.000000000015</v>
      </c>
      <c r="N26" s="77">
        <f t="shared" si="3"/>
        <v>127828.10880000003</v>
      </c>
      <c r="O26" s="77">
        <f t="shared" si="4"/>
        <v>620.52480000000014</v>
      </c>
      <c r="P26" s="5"/>
      <c r="Q26" s="5"/>
      <c r="R26" s="5"/>
    </row>
    <row r="27" spans="1:19" x14ac:dyDescent="0.2">
      <c r="A27" s="66" t="s">
        <v>42</v>
      </c>
      <c r="B27" s="80">
        <v>0</v>
      </c>
      <c r="C27" s="79">
        <f t="shared" ref="C27:C33" si="6">B27*27</f>
        <v>0</v>
      </c>
      <c r="D27" s="69">
        <f>C27/C35</f>
        <v>0</v>
      </c>
      <c r="E27" s="70">
        <f t="shared" si="0"/>
        <v>0</v>
      </c>
      <c r="F27" s="49">
        <f>E27/E35</f>
        <v>0</v>
      </c>
      <c r="G27" s="71">
        <v>35</v>
      </c>
      <c r="H27" s="72">
        <v>0.5</v>
      </c>
      <c r="I27" s="73">
        <f t="shared" si="5"/>
        <v>70</v>
      </c>
      <c r="J27" s="74">
        <v>45</v>
      </c>
      <c r="K27" s="75">
        <v>20</v>
      </c>
      <c r="L27" s="76">
        <f t="shared" si="1"/>
        <v>0</v>
      </c>
      <c r="M27" s="76">
        <f t="shared" si="2"/>
        <v>0</v>
      </c>
      <c r="N27" s="77">
        <f t="shared" si="3"/>
        <v>0</v>
      </c>
      <c r="O27" s="77">
        <f t="shared" si="4"/>
        <v>0</v>
      </c>
      <c r="P27" s="5"/>
      <c r="Q27" s="5"/>
      <c r="R27" s="5"/>
    </row>
    <row r="28" spans="1:19" x14ac:dyDescent="0.2">
      <c r="A28" s="66" t="s">
        <v>43</v>
      </c>
      <c r="B28" s="80">
        <v>0</v>
      </c>
      <c r="C28" s="79">
        <f t="shared" si="6"/>
        <v>0</v>
      </c>
      <c r="D28" s="69">
        <f>C28/C35</f>
        <v>0</v>
      </c>
      <c r="E28" s="67">
        <f t="shared" si="0"/>
        <v>0</v>
      </c>
      <c r="F28" s="49">
        <f>E28/E35</f>
        <v>0</v>
      </c>
      <c r="G28" s="71">
        <v>32</v>
      </c>
      <c r="H28" s="72">
        <v>10</v>
      </c>
      <c r="I28" s="73">
        <f t="shared" si="5"/>
        <v>3.2</v>
      </c>
      <c r="J28" s="74">
        <v>50</v>
      </c>
      <c r="K28" s="75">
        <v>30</v>
      </c>
      <c r="L28" s="76">
        <f t="shared" si="1"/>
        <v>0</v>
      </c>
      <c r="M28" s="76">
        <f t="shared" si="2"/>
        <v>0</v>
      </c>
      <c r="N28" s="77">
        <f t="shared" si="3"/>
        <v>0</v>
      </c>
      <c r="O28" s="77">
        <f t="shared" si="4"/>
        <v>0</v>
      </c>
      <c r="P28" s="5" t="s">
        <v>44</v>
      </c>
      <c r="Q28" s="5"/>
      <c r="R28" s="81">
        <f>15000/J20</f>
        <v>36787.833096498056</v>
      </c>
      <c r="S28" s="3" t="s">
        <v>34</v>
      </c>
    </row>
    <row r="29" spans="1:19" x14ac:dyDescent="0.2">
      <c r="A29" s="66" t="s">
        <v>45</v>
      </c>
      <c r="B29" s="80">
        <v>0</v>
      </c>
      <c r="C29" s="79">
        <f t="shared" si="6"/>
        <v>0</v>
      </c>
      <c r="D29" s="69">
        <f>C29/C$35</f>
        <v>0</v>
      </c>
      <c r="E29" s="70">
        <f t="shared" si="0"/>
        <v>0</v>
      </c>
      <c r="F29" s="49">
        <f>E29/E$35</f>
        <v>0</v>
      </c>
      <c r="G29" s="71">
        <v>49</v>
      </c>
      <c r="H29" s="72">
        <v>0.7</v>
      </c>
      <c r="I29" s="73">
        <f t="shared" si="5"/>
        <v>70</v>
      </c>
      <c r="J29" s="74">
        <v>12</v>
      </c>
      <c r="K29" s="75">
        <v>11.111111111111111</v>
      </c>
      <c r="L29" s="76">
        <f t="shared" si="1"/>
        <v>0</v>
      </c>
      <c r="M29" s="76">
        <f t="shared" si="2"/>
        <v>0</v>
      </c>
      <c r="N29" s="77">
        <f t="shared" si="3"/>
        <v>0</v>
      </c>
      <c r="O29" s="77">
        <f t="shared" si="4"/>
        <v>0</v>
      </c>
      <c r="P29" s="5"/>
      <c r="Q29" s="5"/>
      <c r="R29" s="5"/>
    </row>
    <row r="30" spans="1:19" x14ac:dyDescent="0.2">
      <c r="A30" s="66" t="s">
        <v>46</v>
      </c>
      <c r="B30" s="80">
        <v>0</v>
      </c>
      <c r="C30" s="79">
        <f t="shared" si="6"/>
        <v>0</v>
      </c>
      <c r="D30" s="69">
        <f>C30/C$35</f>
        <v>0</v>
      </c>
      <c r="E30" s="70">
        <f t="shared" si="0"/>
        <v>0</v>
      </c>
      <c r="F30" s="49">
        <f>E30/E$35</f>
        <v>0</v>
      </c>
      <c r="G30" s="71">
        <v>40</v>
      </c>
      <c r="H30" s="72">
        <v>0.4</v>
      </c>
      <c r="I30" s="73">
        <f t="shared" si="5"/>
        <v>100</v>
      </c>
      <c r="J30" s="74">
        <v>45</v>
      </c>
      <c r="K30" s="75">
        <f>18</f>
        <v>18</v>
      </c>
      <c r="L30" s="76">
        <f t="shared" si="1"/>
        <v>0</v>
      </c>
      <c r="M30" s="76">
        <f t="shared" si="2"/>
        <v>0</v>
      </c>
      <c r="N30" s="77">
        <f t="shared" si="3"/>
        <v>0</v>
      </c>
      <c r="O30" s="77">
        <f t="shared" si="4"/>
        <v>0</v>
      </c>
      <c r="P30" s="5"/>
      <c r="Q30" s="5"/>
      <c r="R30" s="5"/>
    </row>
    <row r="31" spans="1:19" x14ac:dyDescent="0.2">
      <c r="A31" s="66" t="s">
        <v>47</v>
      </c>
      <c r="B31" s="80">
        <v>1500</v>
      </c>
      <c r="C31" s="79">
        <f t="shared" si="6"/>
        <v>40500</v>
      </c>
      <c r="D31" s="69">
        <f>C31/C$35</f>
        <v>0.56756756756756754</v>
      </c>
      <c r="E31" s="70">
        <f t="shared" si="0"/>
        <v>729000</v>
      </c>
      <c r="F31" s="49">
        <f>E31/E$35</f>
        <v>0.42923761746626155</v>
      </c>
      <c r="G31" s="71">
        <v>35</v>
      </c>
      <c r="H31" s="72">
        <v>0.7</v>
      </c>
      <c r="I31" s="73">
        <f t="shared" si="5"/>
        <v>50</v>
      </c>
      <c r="J31" s="74">
        <v>50</v>
      </c>
      <c r="K31" s="75">
        <v>18</v>
      </c>
      <c r="L31" s="76">
        <f t="shared" si="1"/>
        <v>364500</v>
      </c>
      <c r="M31" s="76">
        <f t="shared" si="2"/>
        <v>364500</v>
      </c>
      <c r="N31" s="77">
        <f t="shared" si="3"/>
        <v>127575</v>
      </c>
      <c r="O31" s="77">
        <f t="shared" si="4"/>
        <v>2551.4999999999995</v>
      </c>
      <c r="P31" s="5"/>
      <c r="Q31" s="5"/>
      <c r="R31" s="5"/>
    </row>
    <row r="32" spans="1:19" x14ac:dyDescent="0.2">
      <c r="A32" s="66" t="s">
        <v>48</v>
      </c>
      <c r="B32" s="80">
        <v>0</v>
      </c>
      <c r="C32" s="79">
        <f t="shared" si="6"/>
        <v>0</v>
      </c>
      <c r="D32" s="69">
        <f>C32/C35</f>
        <v>0</v>
      </c>
      <c r="E32" s="70">
        <f t="shared" si="0"/>
        <v>0</v>
      </c>
      <c r="F32" s="49">
        <f>E32/E35</f>
        <v>0</v>
      </c>
      <c r="G32" s="71">
        <v>48.1</v>
      </c>
      <c r="H32" s="72">
        <v>3.7</v>
      </c>
      <c r="I32" s="73">
        <f t="shared" si="5"/>
        <v>13</v>
      </c>
      <c r="J32" s="74">
        <v>83</v>
      </c>
      <c r="K32" s="75">
        <v>54.074074074074076</v>
      </c>
      <c r="L32" s="76">
        <f t="shared" si="1"/>
        <v>0</v>
      </c>
      <c r="M32" s="76">
        <f t="shared" si="2"/>
        <v>0</v>
      </c>
      <c r="N32" s="77">
        <f t="shared" si="3"/>
        <v>0</v>
      </c>
      <c r="O32" s="77">
        <f t="shared" si="4"/>
        <v>0</v>
      </c>
      <c r="P32" s="5"/>
      <c r="Q32" s="5"/>
      <c r="R32" s="5"/>
    </row>
    <row r="33" spans="1:25" x14ac:dyDescent="0.2">
      <c r="A33" s="66" t="s">
        <v>49</v>
      </c>
      <c r="B33" s="80">
        <v>0</v>
      </c>
      <c r="C33" s="79">
        <f t="shared" si="6"/>
        <v>0</v>
      </c>
      <c r="D33" s="69">
        <f>C33/C35</f>
        <v>0</v>
      </c>
      <c r="E33" s="70">
        <f t="shared" si="0"/>
        <v>0</v>
      </c>
      <c r="F33" s="49">
        <f>E33/E35</f>
        <v>0</v>
      </c>
      <c r="G33" s="71">
        <v>48</v>
      </c>
      <c r="H33" s="72">
        <v>0.12</v>
      </c>
      <c r="I33" s="73">
        <f t="shared" si="5"/>
        <v>400</v>
      </c>
      <c r="J33" s="74">
        <v>30</v>
      </c>
      <c r="K33" s="75">
        <v>18.5</v>
      </c>
      <c r="L33" s="76">
        <f t="shared" si="1"/>
        <v>0</v>
      </c>
      <c r="M33" s="76">
        <f t="shared" si="2"/>
        <v>0</v>
      </c>
      <c r="N33" s="77">
        <f t="shared" si="3"/>
        <v>0</v>
      </c>
      <c r="O33" s="77">
        <f t="shared" si="4"/>
        <v>0</v>
      </c>
      <c r="P33" s="5"/>
      <c r="Q33" s="5"/>
      <c r="R33" s="5"/>
    </row>
    <row r="34" spans="1:25" x14ac:dyDescent="0.2">
      <c r="A34" s="82" t="s">
        <v>50</v>
      </c>
      <c r="B34" s="82"/>
      <c r="C34" s="83" t="s">
        <v>51</v>
      </c>
      <c r="D34" s="83"/>
      <c r="E34" s="84">
        <v>0</v>
      </c>
      <c r="F34" s="58">
        <f>E34/E35</f>
        <v>0</v>
      </c>
      <c r="G34" s="85">
        <v>0</v>
      </c>
      <c r="H34" s="83">
        <v>0</v>
      </c>
      <c r="I34" s="86">
        <v>0</v>
      </c>
      <c r="J34" s="87">
        <v>100</v>
      </c>
      <c r="K34" s="59" t="s">
        <v>51</v>
      </c>
      <c r="L34" s="88">
        <f t="shared" si="1"/>
        <v>0</v>
      </c>
      <c r="M34" s="88">
        <f t="shared" si="2"/>
        <v>0</v>
      </c>
      <c r="N34" s="89">
        <f t="shared" si="3"/>
        <v>0</v>
      </c>
      <c r="O34" s="89">
        <f t="shared" si="4"/>
        <v>0</v>
      </c>
      <c r="P34" s="90"/>
      <c r="Q34" s="5"/>
      <c r="R34" s="5"/>
    </row>
    <row r="35" spans="1:25" s="5" customFormat="1" x14ac:dyDescent="0.2">
      <c r="A35" s="91" t="s">
        <v>52</v>
      </c>
      <c r="B35" s="92">
        <f>SUM(B25:B34)</f>
        <v>2642.8571428571431</v>
      </c>
      <c r="C35" s="92">
        <f>SUM(C25:C34)</f>
        <v>71357.142857142855</v>
      </c>
      <c r="D35" s="93">
        <f>SUM(D25:D34)</f>
        <v>1</v>
      </c>
      <c r="E35" s="92">
        <f>SUM(E25:E34)</f>
        <v>1698360</v>
      </c>
      <c r="F35" s="94">
        <f>SUM(F25:F34)</f>
        <v>1</v>
      </c>
      <c r="G35" s="95">
        <f>100*N35/L35</f>
        <v>38.554364709835362</v>
      </c>
      <c r="H35" s="93">
        <f>100*O35/L35</f>
        <v>1.3229578073249171</v>
      </c>
      <c r="I35" s="96">
        <f>N35/O35</f>
        <v>29.142550500377713</v>
      </c>
      <c r="J35" s="96">
        <f>M35*100/E35</f>
        <v>55.840457853458631</v>
      </c>
      <c r="K35" s="97">
        <f>E35/C35</f>
        <v>23.800840840840841</v>
      </c>
      <c r="L35" s="98">
        <f>SUM(L25:L34)</f>
        <v>749988</v>
      </c>
      <c r="M35" s="98">
        <f>SUM(M25:M34)</f>
        <v>948372</v>
      </c>
      <c r="N35" s="99">
        <f>SUM(N25:N34)</f>
        <v>289153.10880000005</v>
      </c>
      <c r="O35" s="99">
        <f>SUM(O25:O34)</f>
        <v>9922.0247999999992</v>
      </c>
      <c r="P35" s="100"/>
    </row>
    <row r="36" spans="1:25" s="5" customFormat="1" x14ac:dyDescent="0.2">
      <c r="I36" s="134" t="s">
        <v>93</v>
      </c>
      <c r="J36" s="134" t="s">
        <v>95</v>
      </c>
      <c r="K36" s="35"/>
      <c r="L36" s="30"/>
      <c r="M36" s="6"/>
      <c r="N36" s="6"/>
      <c r="O36" s="6"/>
      <c r="P36" s="6"/>
      <c r="V36" s="53"/>
      <c r="W36" s="53"/>
      <c r="X36" s="54"/>
      <c r="Y36" s="54"/>
    </row>
    <row r="37" spans="1:25" x14ac:dyDescent="0.2">
      <c r="A37" s="32" t="s">
        <v>53</v>
      </c>
      <c r="B37" s="32"/>
      <c r="C37" s="101">
        <f>C35</f>
        <v>71357.142857142855</v>
      </c>
      <c r="D37" s="39" t="s">
        <v>35</v>
      </c>
      <c r="E37" s="102"/>
      <c r="F37" s="6"/>
      <c r="G37" s="6"/>
      <c r="H37" s="19"/>
      <c r="I37" s="135" t="s">
        <v>94</v>
      </c>
      <c r="J37" s="135" t="s">
        <v>96</v>
      </c>
      <c r="K37" s="30"/>
      <c r="L37" s="6"/>
      <c r="M37" s="6"/>
      <c r="N37" s="6"/>
      <c r="O37" s="3"/>
      <c r="P37" s="3"/>
    </row>
    <row r="38" spans="1:25" x14ac:dyDescent="0.2">
      <c r="A38" s="108" t="s">
        <v>97</v>
      </c>
      <c r="C38" s="125">
        <f>C37/27</f>
        <v>2642.8571428571427</v>
      </c>
      <c r="D38" s="2" t="s">
        <v>34</v>
      </c>
      <c r="J38" s="35"/>
      <c r="K38" s="103"/>
      <c r="L38" s="104"/>
      <c r="M38" s="6"/>
      <c r="N38" s="6"/>
      <c r="O38" s="3"/>
      <c r="P38" s="3"/>
    </row>
    <row r="39" spans="1:25" x14ac:dyDescent="0.2">
      <c r="A39" s="6" t="s">
        <v>54</v>
      </c>
      <c r="B39" s="6"/>
      <c r="C39" s="131">
        <v>7</v>
      </c>
      <c r="D39" s="39" t="s">
        <v>55</v>
      </c>
      <c r="J39" s="6"/>
      <c r="K39" s="105"/>
      <c r="L39" s="106"/>
      <c r="M39" s="6"/>
      <c r="N39" s="6"/>
      <c r="O39" s="3"/>
      <c r="P39" s="3"/>
    </row>
    <row r="40" spans="1:25" x14ac:dyDescent="0.2">
      <c r="A40" s="6" t="s">
        <v>56</v>
      </c>
      <c r="B40" s="6"/>
      <c r="C40" s="130">
        <v>100</v>
      </c>
      <c r="D40" s="39" t="s">
        <v>55</v>
      </c>
      <c r="J40" s="6"/>
      <c r="K40" s="6"/>
      <c r="L40" s="6"/>
      <c r="M40" s="6"/>
      <c r="N40" s="6"/>
      <c r="O40" s="3"/>
      <c r="P40" s="3"/>
    </row>
    <row r="41" spans="1:25" x14ac:dyDescent="0.2">
      <c r="A41" s="6" t="s">
        <v>57</v>
      </c>
      <c r="B41" s="6"/>
      <c r="C41" s="132">
        <f>C37/C40/C39</f>
        <v>101.93877551020408</v>
      </c>
      <c r="D41" s="39" t="s">
        <v>55</v>
      </c>
      <c r="J41" s="35" t="s">
        <v>51</v>
      </c>
      <c r="K41" s="30"/>
      <c r="M41" s="113"/>
      <c r="N41" s="113"/>
      <c r="O41" s="113"/>
      <c r="P41" s="113"/>
      <c r="Q41" s="81"/>
      <c r="R41" s="117"/>
      <c r="S41" s="81"/>
      <c r="T41" s="118"/>
    </row>
    <row r="42" spans="1:25" x14ac:dyDescent="0.2">
      <c r="A42" s="6" t="s">
        <v>58</v>
      </c>
      <c r="B42" s="6"/>
      <c r="C42" s="107">
        <f>C41*C40</f>
        <v>10193.877551020409</v>
      </c>
      <c r="D42" s="39" t="s">
        <v>59</v>
      </c>
      <c r="J42" s="35"/>
      <c r="K42" s="30"/>
      <c r="M42" s="113"/>
      <c r="N42" s="113"/>
      <c r="O42" s="113"/>
      <c r="P42" s="113"/>
      <c r="Q42" s="81"/>
      <c r="R42" s="117"/>
      <c r="S42" s="81"/>
      <c r="T42" s="118"/>
    </row>
    <row r="43" spans="1:25" x14ac:dyDescent="0.2">
      <c r="A43" s="3"/>
      <c r="B43" s="3"/>
      <c r="C43" s="3"/>
      <c r="D43" s="3"/>
      <c r="E43" s="3"/>
      <c r="F43" s="3"/>
      <c r="G43" s="3"/>
      <c r="H43" s="3"/>
      <c r="J43" s="35"/>
      <c r="K43" s="30"/>
      <c r="M43" s="113"/>
      <c r="N43" s="113"/>
      <c r="O43" s="113"/>
      <c r="P43" s="113"/>
      <c r="Q43" s="110"/>
      <c r="R43" s="117"/>
      <c r="S43" s="110"/>
      <c r="T43" s="118"/>
    </row>
    <row r="44" spans="1:25" x14ac:dyDescent="0.2">
      <c r="A44" s="108"/>
      <c r="B44" s="108"/>
      <c r="F44" s="3"/>
      <c r="G44" s="3"/>
      <c r="H44" s="3"/>
      <c r="I44" s="19"/>
      <c r="J44" s="39"/>
      <c r="K44" s="30"/>
    </row>
    <row r="45" spans="1:25" x14ac:dyDescent="0.2">
      <c r="A45" s="32" t="s">
        <v>60</v>
      </c>
      <c r="B45" s="6"/>
      <c r="C45" s="35"/>
      <c r="D45" s="39"/>
      <c r="F45" s="3"/>
      <c r="G45" s="3"/>
      <c r="H45" s="3"/>
      <c r="J45" s="39"/>
      <c r="K45" s="30"/>
    </row>
    <row r="46" spans="1:25" x14ac:dyDescent="0.2">
      <c r="A46" s="6" t="s">
        <v>61</v>
      </c>
      <c r="B46" s="6"/>
      <c r="C46" s="109">
        <v>2</v>
      </c>
      <c r="D46" s="6" t="s">
        <v>55</v>
      </c>
      <c r="F46" s="3"/>
      <c r="G46" s="3"/>
      <c r="H46" s="3"/>
      <c r="J46" s="39"/>
      <c r="K46" s="30"/>
    </row>
    <row r="47" spans="1:25" x14ac:dyDescent="0.2">
      <c r="A47" s="39" t="s">
        <v>62</v>
      </c>
      <c r="B47" s="39"/>
      <c r="C47" s="109">
        <v>2</v>
      </c>
      <c r="D47" s="39" t="s">
        <v>55</v>
      </c>
      <c r="F47" s="3"/>
      <c r="G47" s="3"/>
      <c r="H47" s="3"/>
      <c r="N47" s="113"/>
      <c r="O47" s="113"/>
      <c r="P47" s="113"/>
      <c r="Q47" s="113"/>
    </row>
    <row r="48" spans="1:25" x14ac:dyDescent="0.2">
      <c r="A48" s="6" t="s">
        <v>63</v>
      </c>
      <c r="B48" s="6"/>
      <c r="C48" s="109">
        <v>2</v>
      </c>
      <c r="D48" s="6" t="s">
        <v>55</v>
      </c>
      <c r="F48" s="3"/>
      <c r="G48" s="3"/>
      <c r="H48" s="3"/>
      <c r="N48" s="113"/>
      <c r="O48" s="113"/>
      <c r="P48" s="113"/>
      <c r="Q48" s="113"/>
    </row>
    <row r="49" spans="1:17" x14ac:dyDescent="0.2">
      <c r="A49" s="6" t="s">
        <v>64</v>
      </c>
      <c r="B49" s="6"/>
      <c r="C49" s="35">
        <f>(C40+2*C46)*(C41+2*C46)</f>
        <v>11017.632653061224</v>
      </c>
      <c r="D49" s="6" t="s">
        <v>59</v>
      </c>
      <c r="F49" s="3"/>
      <c r="G49" s="3"/>
      <c r="H49" s="3"/>
      <c r="N49" s="113"/>
      <c r="O49" s="113"/>
      <c r="P49" s="113"/>
      <c r="Q49" s="113"/>
    </row>
    <row r="50" spans="1:17" x14ac:dyDescent="0.2">
      <c r="A50" s="6" t="s">
        <v>65</v>
      </c>
      <c r="B50" s="6"/>
      <c r="C50" s="111">
        <f>C49/44600</f>
        <v>0.24703212226594673</v>
      </c>
      <c r="D50" s="30" t="s">
        <v>66</v>
      </c>
      <c r="F50" s="3"/>
      <c r="G50" s="3"/>
      <c r="H50" s="3"/>
      <c r="I50" s="112"/>
      <c r="N50" s="113"/>
      <c r="O50" s="113"/>
      <c r="P50" s="113"/>
      <c r="Q50" s="113"/>
    </row>
    <row r="51" spans="1:17" x14ac:dyDescent="0.2">
      <c r="A51" s="6" t="s">
        <v>67</v>
      </c>
      <c r="B51" s="6"/>
      <c r="C51" s="39">
        <f>C39+C47+C48</f>
        <v>11</v>
      </c>
      <c r="D51" s="6" t="s">
        <v>68</v>
      </c>
      <c r="I51" s="114"/>
    </row>
    <row r="52" spans="1:17" x14ac:dyDescent="0.2">
      <c r="A52" s="2" t="s">
        <v>70</v>
      </c>
      <c r="C52" s="113">
        <f>C49*C51</f>
        <v>121193.95918367346</v>
      </c>
      <c r="D52" s="2" t="s">
        <v>35</v>
      </c>
      <c r="E52" s="113" t="s">
        <v>71</v>
      </c>
    </row>
    <row r="53" spans="1:17" x14ac:dyDescent="0.2">
      <c r="A53" s="2" t="s">
        <v>72</v>
      </c>
      <c r="C53" s="113">
        <f>C52-C37</f>
        <v>49836.816326530607</v>
      </c>
      <c r="D53" s="2" t="s">
        <v>35</v>
      </c>
      <c r="E53" s="113" t="s">
        <v>73</v>
      </c>
    </row>
    <row r="54" spans="1:17" x14ac:dyDescent="0.2">
      <c r="A54" s="2" t="s">
        <v>72</v>
      </c>
      <c r="C54" s="113">
        <f>C53/27</f>
        <v>1845.8080120937261</v>
      </c>
      <c r="D54" s="2" t="s">
        <v>34</v>
      </c>
      <c r="E54" s="3"/>
    </row>
    <row r="57" spans="1:17" x14ac:dyDescent="0.2">
      <c r="C57" s="126"/>
    </row>
    <row r="58" spans="1:17" x14ac:dyDescent="0.2">
      <c r="A58" s="3"/>
      <c r="B58" s="3"/>
      <c r="C58" s="127"/>
      <c r="D58" s="3"/>
    </row>
    <row r="59" spans="1:17" x14ac:dyDescent="0.2">
      <c r="A59" s="6" t="s">
        <v>75</v>
      </c>
      <c r="B59" s="6"/>
      <c r="C59" s="129">
        <f>E34/8.33</f>
        <v>0</v>
      </c>
      <c r="D59" s="6" t="s">
        <v>74</v>
      </c>
      <c r="F59" s="6"/>
      <c r="G59" s="6"/>
      <c r="H59" s="28"/>
    </row>
    <row r="60" spans="1:17" x14ac:dyDescent="0.2">
      <c r="A60" s="116" t="s">
        <v>76</v>
      </c>
      <c r="B60" s="116"/>
      <c r="C60" s="128">
        <f>C49*C47</f>
        <v>22035.265306122448</v>
      </c>
      <c r="D60" s="3" t="s">
        <v>35</v>
      </c>
    </row>
    <row r="61" spans="1:17" x14ac:dyDescent="0.2">
      <c r="A61" s="3" t="s">
        <v>69</v>
      </c>
      <c r="B61" s="116"/>
      <c r="C61" s="128">
        <f>C60/27</f>
        <v>816.12093726379442</v>
      </c>
      <c r="D61" s="3" t="s">
        <v>34</v>
      </c>
      <c r="E61" s="3"/>
    </row>
    <row r="62" spans="1:17" x14ac:dyDescent="0.2">
      <c r="A62" s="116" t="s">
        <v>77</v>
      </c>
      <c r="B62" s="116"/>
      <c r="C62" s="128">
        <f>(C60*C48/C47)+(C46*C41*C39*2)+(C46*C39*C40*2)</f>
        <v>27689.551020408162</v>
      </c>
      <c r="D62" s="3" t="s">
        <v>35</v>
      </c>
    </row>
    <row r="63" spans="1:17" x14ac:dyDescent="0.2">
      <c r="A63" s="3" t="s">
        <v>78</v>
      </c>
      <c r="B63" s="3"/>
      <c r="C63" s="128">
        <f>C62/27</f>
        <v>1025.5389266817838</v>
      </c>
      <c r="D63" s="3" t="s">
        <v>34</v>
      </c>
    </row>
    <row r="64" spans="1:17" x14ac:dyDescent="0.2">
      <c r="A64" s="108"/>
      <c r="B64" s="108"/>
      <c r="C64" s="113"/>
    </row>
    <row r="65" spans="1:8" x14ac:dyDescent="0.2">
      <c r="A65" s="3"/>
      <c r="B65" s="3"/>
      <c r="C65" s="3"/>
      <c r="D65" s="3"/>
      <c r="F65" s="39"/>
      <c r="G65" s="38"/>
      <c r="H65" s="119"/>
    </row>
    <row r="66" spans="1:8" x14ac:dyDescent="0.2">
      <c r="B66" s="3"/>
      <c r="H66" s="28"/>
    </row>
    <row r="67" spans="1:8" x14ac:dyDescent="0.2">
      <c r="A67" s="3" t="s">
        <v>79</v>
      </c>
      <c r="B67" s="2" t="s">
        <v>80</v>
      </c>
      <c r="C67" s="3"/>
      <c r="D67" s="3"/>
      <c r="E67" s="3"/>
      <c r="H67" s="3"/>
    </row>
    <row r="68" spans="1:8" x14ac:dyDescent="0.2">
      <c r="A68" s="2" t="s">
        <v>81</v>
      </c>
      <c r="B68" s="120">
        <v>10</v>
      </c>
      <c r="C68" s="115">
        <f>B69*(C63+B31)</f>
        <v>25255.389266817838</v>
      </c>
      <c r="F68" s="3"/>
      <c r="G68" s="3"/>
    </row>
    <row r="69" spans="1:8" x14ac:dyDescent="0.2">
      <c r="A69" s="2" t="s">
        <v>82</v>
      </c>
      <c r="B69" s="120">
        <v>10</v>
      </c>
      <c r="C69" s="115">
        <f>B69*(C61+B33)</f>
        <v>8161.2093726379444</v>
      </c>
    </row>
    <row r="70" spans="1:8" x14ac:dyDescent="0.2">
      <c r="A70" s="2" t="s">
        <v>83</v>
      </c>
      <c r="B70" s="120">
        <v>10</v>
      </c>
      <c r="C70" s="115">
        <f>(B26+B27+B29+B30+B32)*B70</f>
        <v>8000</v>
      </c>
    </row>
    <row r="72" spans="1:8" x14ac:dyDescent="0.2">
      <c r="A72" s="108" t="s">
        <v>84</v>
      </c>
      <c r="B72" s="108"/>
      <c r="C72" s="121">
        <f>SUM(C68:C70)</f>
        <v>41416.598639455784</v>
      </c>
      <c r="E72" s="2" t="s">
        <v>85</v>
      </c>
    </row>
    <row r="76" spans="1:8" x14ac:dyDescent="0.2">
      <c r="A76" s="3"/>
      <c r="B76" s="3"/>
      <c r="C76" s="3"/>
      <c r="D76" s="3"/>
      <c r="E76" s="3"/>
      <c r="F76" s="3"/>
      <c r="G76" s="3"/>
      <c r="H76" s="3"/>
    </row>
    <row r="83" spans="1:5" x14ac:dyDescent="0.2">
      <c r="A83" s="3"/>
      <c r="B83" s="3"/>
      <c r="C83" s="3"/>
      <c r="D83" s="3"/>
      <c r="E83" s="3"/>
    </row>
    <row r="84" spans="1:5" x14ac:dyDescent="0.2">
      <c r="A84" s="3"/>
      <c r="B84" s="3"/>
      <c r="C84" s="3"/>
      <c r="D84" s="3"/>
      <c r="E8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2015-11-19T19:33:10Z</dcterms:created>
  <dcterms:modified xsi:type="dcterms:W3CDTF">2017-03-28T13:25:31Z</dcterms:modified>
</cp:coreProperties>
</file>